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Profit and Loss" sheetId="1" r:id="rId1"/>
  </sheets>
  <definedNames>
    <definedName name="_xlnm.Print_Area" localSheetId="0">'Profit and Loss'!$A$1:$F$149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<sst xmlns="http://schemas.openxmlformats.org/spreadsheetml/2006/main" count="147" uniqueCount="147">
  <si>
    <t>Town of White Springs Florida</t>
  </si>
  <si>
    <t>Profit and Loss</t>
  </si>
  <si>
    <t>October - December, 2023</t>
  </si>
  <si>
    <t>Total</t>
  </si>
  <si>
    <t>Budget</t>
  </si>
  <si>
    <t>Variance</t>
  </si>
  <si>
    <t>Income</t>
  </si>
  <si>
    <t xml:space="preserve">   AD VALOREM</t>
  </si>
  <si>
    <t xml:space="preserve">      311.000 AD VALOREM TAXES</t>
  </si>
  <si>
    <t xml:space="preserve">   Total AD VALOREM</t>
  </si>
  <si>
    <t xml:space="preserve">   CHARGE FOR SERVICES</t>
  </si>
  <si>
    <t xml:space="preserve">      341.200 SERVICE FEES- FAX, COPY, NOTARY</t>
  </si>
  <si>
    <t xml:space="preserve">      362.003 CELL TOWER RENTAL FEE</t>
  </si>
  <si>
    <t xml:space="preserve">   Total CHARGE FOR SERVICES</t>
  </si>
  <si>
    <t xml:space="preserve">   FRANCHISE FEES</t>
  </si>
  <si>
    <t xml:space="preserve">      323.100 ELECTRICITY FRANCHISE FEE</t>
  </si>
  <si>
    <t xml:space="preserve">                    Sanitation Franchise Fee</t>
  </si>
  <si>
    <t xml:space="preserve">   Total FRANCHISE FEES</t>
  </si>
  <si>
    <t xml:space="preserve">   LICENSE/PERMITS</t>
  </si>
  <si>
    <t xml:space="preserve">      316.000 Local Business Tax - Occupation</t>
  </si>
  <si>
    <t xml:space="preserve">      335.140  Mobile Home Licenses</t>
  </si>
  <si>
    <t xml:space="preserve">     335.150 Beverge Licenses</t>
  </si>
  <si>
    <t xml:space="preserve">      342.000 GAMING PERMIT</t>
  </si>
  <si>
    <t xml:space="preserve">   Total LICENSE/PERMITS</t>
  </si>
  <si>
    <t xml:space="preserve">  POLICE DEPT INCOME</t>
  </si>
  <si>
    <t xml:space="preserve">   351.000 FINES AND FORFEITURES</t>
  </si>
  <si>
    <t xml:space="preserve">   351.510  LAW EDUCATION</t>
  </si>
  <si>
    <t xml:space="preserve">   MISC REVENUE</t>
  </si>
  <si>
    <t xml:space="preserve">      361.100 INTEREST</t>
  </si>
  <si>
    <t xml:space="preserve">   Total MISC REVENUE</t>
  </si>
  <si>
    <t xml:space="preserve">   RESTRICTED INCOME</t>
  </si>
  <si>
    <t xml:space="preserve">      312.100 LOCAL OPTION FUEL TAX</t>
  </si>
  <si>
    <t xml:space="preserve">      335.49  DOT STATE HIGHWAY LIGHTING SYS</t>
  </si>
  <si>
    <t xml:space="preserve">   Total RESTRICTED INCOME</t>
  </si>
  <si>
    <t xml:space="preserve">   SALES &amp; USE TAXES</t>
  </si>
  <si>
    <t xml:space="preserve">      312.600 DISCRETIONARY SALES TAX/MONTHLY</t>
  </si>
  <si>
    <t xml:space="preserve">      315.000 COMMUNICATION SERVICE TAX</t>
  </si>
  <si>
    <t xml:space="preserve">      335.120 STATE REVENUE SHARING</t>
  </si>
  <si>
    <t xml:space="preserve">      335.180 HALF CENT SALES TAX</t>
  </si>
  <si>
    <t xml:space="preserve">      335.491 DOT GREENSCAPES</t>
  </si>
  <si>
    <t xml:space="preserve">   Total SALES &amp; USE TAXES</t>
  </si>
  <si>
    <t xml:space="preserve">   TAXES</t>
  </si>
  <si>
    <t xml:space="preserve">      UTILITY &amp; SERVICE TAX</t>
  </si>
  <si>
    <t xml:space="preserve">         314.100 ELECTRIC UTILITY SERVICE TAX</t>
  </si>
  <si>
    <t xml:space="preserve">         314.800 PROPANE UTILITY TAX</t>
  </si>
  <si>
    <t xml:space="preserve">         314.300  Water Tax</t>
  </si>
  <si>
    <t xml:space="preserve">      Total UTILITY &amp; SERVICE TAX</t>
  </si>
  <si>
    <t xml:space="preserve">   Total TAXES</t>
  </si>
  <si>
    <t>Total Income</t>
  </si>
  <si>
    <t>Gross Profit</t>
  </si>
  <si>
    <t>Expenses</t>
  </si>
  <si>
    <t xml:space="preserve">   5101 GEN GOVT EXPENSE</t>
  </si>
  <si>
    <t xml:space="preserve">   511 LEGISLATIVE EXPENSE</t>
  </si>
  <si>
    <t xml:space="preserve">      5111011 COUNCIL SALARIES</t>
  </si>
  <si>
    <t xml:space="preserve">      5111021 FICA (ELECTED OFFICIAL)</t>
  </si>
  <si>
    <t xml:space="preserve">      5111024 WORKERS COMP</t>
  </si>
  <si>
    <t xml:space="preserve">       5113040 COUNCIL TRAVEL AND TRAINING</t>
  </si>
  <si>
    <t xml:space="preserve">      5113047  ELECTION EXPENSE</t>
  </si>
  <si>
    <t xml:space="preserve">   Total 511 LEGISLATIVE EXPENSE</t>
  </si>
  <si>
    <t xml:space="preserve">   512 GENERAL GOVERNMENT EXPENSE</t>
  </si>
  <si>
    <t xml:space="preserve">      5121012 REGULAR SALARIES &amp; WAGES</t>
  </si>
  <si>
    <t xml:space="preserve">      5121021 FICA (STAFF)</t>
  </si>
  <si>
    <t xml:space="preserve">      5121022 RETIREMENT</t>
  </si>
  <si>
    <t xml:space="preserve">      5121023 LIFE/HEALTH</t>
  </si>
  <si>
    <t xml:space="preserve">       512024  WORKERS COMP</t>
  </si>
  <si>
    <t xml:space="preserve">      5123031 PROFESSIONAL SERVICE</t>
  </si>
  <si>
    <t xml:space="preserve">      5123032 AUDIT &amp; ACCOUNTING</t>
  </si>
  <si>
    <t xml:space="preserve">      5123034 BANK CHARGE</t>
  </si>
  <si>
    <t xml:space="preserve">      5123040 TRAVEL AND TRAINING</t>
  </si>
  <si>
    <t xml:space="preserve">      5123041 COMMUNICATIONS SERVICES</t>
  </si>
  <si>
    <t xml:space="preserve">      5123042 FREIGHT &amp; POSTAGE SERVICE</t>
  </si>
  <si>
    <t xml:space="preserve">      5123043 UTILITY SERVICE</t>
  </si>
  <si>
    <t xml:space="preserve">      5123044 RENTAL &amp; LEASES</t>
  </si>
  <si>
    <t xml:space="preserve">      5123045 INSURANCE</t>
  </si>
  <si>
    <t xml:space="preserve">      5123046 REPAIR &amp; MAINTENANCE</t>
  </si>
  <si>
    <t xml:space="preserve">      5120347 ADVERTISING AND PRINTING</t>
  </si>
  <si>
    <t xml:space="preserve">      5123051 OFFICE SUPPLIES</t>
  </si>
  <si>
    <t xml:space="preserve">      5123052 OPERATING SUPPLIES</t>
  </si>
  <si>
    <t xml:space="preserve">      5123054 SUBSCRIPTIONS &amp; MEMBERSHIPS</t>
  </si>
  <si>
    <t xml:space="preserve">   Total 512 GENERAL GOVERNMENT EXPENSE</t>
  </si>
  <si>
    <t xml:space="preserve">    515 PLANNING</t>
  </si>
  <si>
    <t xml:space="preserve">       5153031  PROFESSIONAL SERVICES</t>
  </si>
  <si>
    <t xml:space="preserve">   521 POLICE DEPT EXPENSE</t>
  </si>
  <si>
    <t xml:space="preserve">      5213031 PROFESSIONAL SERVICE</t>
  </si>
  <si>
    <t xml:space="preserve">      5213052 OPERATING SUPPLIES</t>
  </si>
  <si>
    <t xml:space="preserve">   Total 521 POLICE DEPT EXPENSE</t>
  </si>
  <si>
    <t xml:space="preserve">   522 FIRE DEPT EXPENSE</t>
  </si>
  <si>
    <t xml:space="preserve">      5221012 FIRE SALARIES</t>
  </si>
  <si>
    <t xml:space="preserve">      5221021 FICA -FIRE</t>
  </si>
  <si>
    <t xml:space="preserve">       5221024 WORKERS COMP</t>
  </si>
  <si>
    <t xml:space="preserve">       5223031  PROFESSIONAL SERVICES  - ALARM</t>
  </si>
  <si>
    <t xml:space="preserve">      5223041 COMMUNICATION SERVICES</t>
  </si>
  <si>
    <t xml:space="preserve">      5223043 UTILITY SERVICES- FIRE</t>
  </si>
  <si>
    <t xml:space="preserve">      5223045  INSURANCE FIRE</t>
  </si>
  <si>
    <t xml:space="preserve">      5223046 REPAIRS / MAINTENANCE - FIRE</t>
  </si>
  <si>
    <t xml:space="preserve">      5223052 OPERATING SUPPLIES-FIRE</t>
  </si>
  <si>
    <t xml:space="preserve">      5223054 SUBSCRIPTIONS &amp; MEMBERSHIPS</t>
  </si>
  <si>
    <t xml:space="preserve">      586 CAPITAL OUTLAY - FIRE</t>
  </si>
  <si>
    <t xml:space="preserve">         5863064 Capital Outlay Loan Payment</t>
  </si>
  <si>
    <t xml:space="preserve">         5867101 Debt Srv - Prin - Leasing 2 Inc</t>
  </si>
  <si>
    <t xml:space="preserve">         5867201 Debt Srv - Int - Leasing 2 Inc</t>
  </si>
  <si>
    <t xml:space="preserve">      Total 586 CAPITAL OUTLAY - FIRE</t>
  </si>
  <si>
    <t xml:space="preserve">   Total 522 FIRE DEPT EXPENSE</t>
  </si>
  <si>
    <t xml:space="preserve">   524 CODE ENFORCEMENT EXPENSE</t>
  </si>
  <si>
    <t xml:space="preserve">      5243041 COMMUNICATION SERVICES</t>
  </si>
  <si>
    <t xml:space="preserve">   Total 524 CODE ENFORCEMENT EXPENSE</t>
  </si>
  <si>
    <t xml:space="preserve">   529 ANIMAL CONTROL EXPENSE</t>
  </si>
  <si>
    <t xml:space="preserve">      5293052 OPERATION SUPPLIES</t>
  </si>
  <si>
    <t xml:space="preserve">   Total 529 ANIMAL CONTROL EXPENSE</t>
  </si>
  <si>
    <t xml:space="preserve">   6560 Payroll Expenses</t>
  </si>
  <si>
    <t xml:space="preserve">      Company Contributions</t>
  </si>
  <si>
    <t xml:space="preserve">         Retirement</t>
  </si>
  <si>
    <t xml:space="preserve">      Total Company Contributions</t>
  </si>
  <si>
    <t xml:space="preserve">      Taxes</t>
  </si>
  <si>
    <t xml:space="preserve">      Wages</t>
  </si>
  <si>
    <t xml:space="preserve">   Total 6560 Payroll Expenses</t>
  </si>
  <si>
    <t xml:space="preserve">   RESTRICTED EXPENSES</t>
  </si>
  <si>
    <t xml:space="preserve">      5411012 RDS/STREETS SALARY</t>
  </si>
  <si>
    <t xml:space="preserve">      5411021 RD/STREETS FICA</t>
  </si>
  <si>
    <t xml:space="preserve">      5411022 RETIREMENT CONTRIBUTION</t>
  </si>
  <si>
    <t xml:space="preserve">      5411023 LIFE/HEALTH INSURANCE</t>
  </si>
  <si>
    <t xml:space="preserve">      5411024 WORKERS COMP INSURANCE</t>
  </si>
  <si>
    <t xml:space="preserve">      5413040 TRAVEL AND TRAINING</t>
  </si>
  <si>
    <t xml:space="preserve">      5413041 COMMUNICATION SERVICES</t>
  </si>
  <si>
    <t xml:space="preserve">      5413043 UTILITY SERVICES</t>
  </si>
  <si>
    <t xml:space="preserve">      5413045  INSURANCE</t>
  </si>
  <si>
    <t xml:space="preserve">      5413046 REPAIRS &amp; MAINTENANCE -R/S</t>
  </si>
  <si>
    <t xml:space="preserve">      5413052 OPERATING SUPPLIES -R/S</t>
  </si>
  <si>
    <t xml:space="preserve">      5413053 ROAD MATERIALS AND SUPPLIES</t>
  </si>
  <si>
    <t xml:space="preserve">      5413064 MACHINERY AND EQUIPMENT</t>
  </si>
  <si>
    <t xml:space="preserve">   Total RESTRICTED EXPENSES</t>
  </si>
  <si>
    <t xml:space="preserve">   SPECIAL RESERVES EXPENSE</t>
  </si>
  <si>
    <t xml:space="preserve">      572 RECREATION EXPENSE</t>
  </si>
  <si>
    <t xml:space="preserve">      574.301 · Festival of Lights Expense</t>
  </si>
  <si>
    <t xml:space="preserve">      574.302 · Azalea Festival Expense</t>
  </si>
  <si>
    <t xml:space="preserve">      574.304 · MLK Dedication Expense</t>
  </si>
  <si>
    <t xml:space="preserve">      574.305 · May Day Expense</t>
  </si>
  <si>
    <t xml:space="preserve">      574.306  Fall Fest / Truck &amp; Treat</t>
  </si>
  <si>
    <t xml:space="preserve">      574.307 - Unity Day</t>
  </si>
  <si>
    <t xml:space="preserve">      574.308 - Veterian's Day</t>
  </si>
  <si>
    <t xml:space="preserve">      5723043 · UTILITIY SERVICE - RECREATION</t>
  </si>
  <si>
    <t xml:space="preserve">      5723046 · REPAIRS &amp; /MAINTENANCE</t>
  </si>
  <si>
    <t xml:space="preserve">      Total 572 RECREATION EXPENSE</t>
  </si>
  <si>
    <t xml:space="preserve">   Total SPECIAL RESERVES EXPENSE</t>
  </si>
  <si>
    <t>Total Expenses</t>
  </si>
  <si>
    <t>Net Operating Income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</si>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</sst>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#,##0.00\ _€"/>
    <numFmt numFmtId="178" formatCode="&quot;$&quot;* #,##0.00\ _€"/>
  </numFmts>
  <fonts count="31">
    <font>
      <sz val="11"/>
      <color indexed="8"/>
      <name val="Calibri"/>
      <charset val="134"/>
      <scheme val="minor"/>
    </font>
    <font>
      <b/>
      <sz val="14"/>
      <color indexed="8"/>
      <name val="Arial"/>
      <charset val="134"/>
    </font>
    <font>
      <b/>
      <sz val="10"/>
      <color indexed="8"/>
      <name val="Arial"/>
      <charset val="134"/>
    </font>
    <font>
      <b/>
      <sz val="9"/>
      <color indexed="8"/>
      <name val="Arial"/>
      <charset val="134"/>
    </font>
    <font>
      <b/>
      <sz val="11"/>
      <color indexed="8"/>
      <name val="Calibri"/>
      <charset val="134"/>
      <scheme val="minor"/>
    </font>
    <font>
      <b/>
      <sz val="8"/>
      <color indexed="8"/>
      <name val="Arial"/>
      <charset val="134"/>
    </font>
    <font>
      <sz val="8"/>
      <color indexed="8"/>
      <name val="Arial"/>
      <charset val="134"/>
    </font>
    <font>
      <b/>
      <sz val="8"/>
      <color indexed="8"/>
      <name val="Arial"/>
      <charset val="134"/>
    </font>
    <font>
      <sz val="8"/>
      <color rgb="FF323232"/>
      <name val="Arial"/>
      <charset val="134"/>
    </font>
    <font>
      <b/>
      <sz val="8"/>
      <color rgb="FF323232"/>
      <name val="Arial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7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177" fontId="6" fillId="0" borderId="0" xfId="0" applyNumberFormat="1" applyFont="1" applyAlignment="1">
      <alignment wrapText="1"/>
    </xf>
    <xf numFmtId="177" fontId="6" fillId="0" borderId="0" xfId="0" applyNumberFormat="1" applyFont="1" applyAlignment="1">
      <alignment horizontal="right" wrapText="1"/>
    </xf>
    <xf numFmtId="178" fontId="5" fillId="0" borderId="2" xfId="0" applyNumberFormat="1" applyFont="1" applyBorder="1" applyAlignment="1">
      <alignment horizontal="right" wrapText="1"/>
    </xf>
    <xf numFmtId="44" fontId="0" fillId="0" borderId="0" xfId="0" applyNumberFormat="1"/>
    <xf numFmtId="0" fontId="7" fillId="0" borderId="0" xfId="0" applyFont="1" applyAlignment="1">
      <alignment horizontal="left" wrapText="1"/>
    </xf>
    <xf numFmtId="49" fontId="7" fillId="0" borderId="0" xfId="0" applyNumberFormat="1" applyFont="1" applyAlignment="1">
      <alignment horizontal="left" wrapText="1"/>
    </xf>
    <xf numFmtId="178" fontId="5" fillId="0" borderId="0" xfId="0" applyNumberFormat="1" applyFont="1" applyAlignment="1">
      <alignment horizontal="right" wrapText="1"/>
    </xf>
    <xf numFmtId="178" fontId="5" fillId="2" borderId="2" xfId="0" applyNumberFormat="1" applyFont="1" applyFill="1" applyBorder="1" applyAlignment="1">
      <alignment horizontal="right" wrapText="1"/>
    </xf>
    <xf numFmtId="0" fontId="5" fillId="3" borderId="0" xfId="0" applyFont="1" applyFill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left" wrapText="1"/>
    </xf>
    <xf numFmtId="178" fontId="5" fillId="2" borderId="1" xfId="0" applyNumberFormat="1" applyFont="1" applyFill="1" applyBorder="1" applyAlignment="1">
      <alignment horizontal="right" wrapText="1"/>
    </xf>
    <xf numFmtId="178" fontId="5" fillId="0" borderId="1" xfId="0" applyNumberFormat="1" applyFont="1" applyBorder="1" applyAlignment="1">
      <alignment horizontal="right" wrapText="1"/>
    </xf>
    <xf numFmtId="43" fontId="8" fillId="0" borderId="0" xfId="1" applyFont="1" applyBorder="1"/>
    <xf numFmtId="43" fontId="8" fillId="0" borderId="0" xfId="1" applyFont="1" applyFill="1"/>
    <xf numFmtId="43" fontId="8" fillId="0" borderId="0" xfId="1" applyFont="1" applyFill="1" applyBorder="1"/>
    <xf numFmtId="43" fontId="9" fillId="0" borderId="0" xfId="1" applyFont="1" applyFill="1"/>
    <xf numFmtId="43" fontId="9" fillId="0" borderId="0" xfId="1" applyFont="1" applyBorder="1"/>
    <xf numFmtId="43" fontId="9" fillId="0" borderId="0" xfId="1" applyFont="1" applyFill="1" applyBorder="1"/>
    <xf numFmtId="0" fontId="0" fillId="2" borderId="0" xfId="0" applyFill="1"/>
    <xf numFmtId="178" fontId="5" fillId="2" borderId="3" xfId="0" applyNumberFormat="1" applyFont="1" applyFill="1" applyBorder="1" applyAlignment="1">
      <alignment horizontal="right" wrapText="1"/>
    </xf>
    <xf numFmtId="0" fontId="6" fillId="0" borderId="0" xfId="0" applyFont="1" applyAlignment="1">
      <alignment horizontal="center"/>
    </xf>
    <xf numFmtId="0" fontId="10" fillId="0" borderId="0" xfId="0" applyFon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3"/>
  <sheetViews>
    <sheetView showGridLines="0" tabSelected="1" workbookViewId="0">
      <selection activeCell="F48" sqref="F48"/>
    </sheetView>
  </sheetViews>
  <sheetFormatPr defaultColWidth="9" defaultRowHeight="15"/>
  <cols>
    <col min="1" max="1" width="42.1428571428571" customWidth="1"/>
    <col min="2" max="2" width="25.7142857142857" customWidth="1"/>
    <col min="3" max="3" width="4.85714285714286" customWidth="1"/>
    <col min="4" max="4" width="16.5714285714286" customWidth="1"/>
    <col min="5" max="5" width="4.85714285714286" customWidth="1"/>
    <col min="6" max="6" width="21" customWidth="1"/>
    <col min="7" max="7" width="15" customWidth="1"/>
  </cols>
  <sheetData>
    <row r="1" ht="18" spans="1:1">
      <c r="A1" s="1" t="s">
        <v>0</v>
      </c>
    </row>
    <row r="2" ht="18" spans="1:1">
      <c r="A2" s="1" t="s">
        <v>1</v>
      </c>
    </row>
    <row r="3" spans="1:1">
      <c r="A3" s="2" t="s">
        <v>2</v>
      </c>
    </row>
    <row r="5" spans="1:6">
      <c r="A5" s="3"/>
      <c r="B5" s="4" t="s">
        <v>3</v>
      </c>
      <c r="D5" s="5" t="s">
        <v>4</v>
      </c>
      <c r="F5" s="5" t="s">
        <v>5</v>
      </c>
    </row>
    <row r="6" spans="1:2">
      <c r="A6" s="6" t="s">
        <v>6</v>
      </c>
      <c r="B6" s="7"/>
    </row>
    <row r="7" spans="1:2">
      <c r="A7" s="6" t="s">
        <v>7</v>
      </c>
      <c r="B7" s="7"/>
    </row>
    <row r="8" spans="1:6">
      <c r="A8" s="6" t="s">
        <v>8</v>
      </c>
      <c r="B8" s="8">
        <v>35705.58</v>
      </c>
      <c r="D8" s="8">
        <v>140032</v>
      </c>
      <c r="F8" s="8">
        <f>B8-D8</f>
        <v>-104326.42</v>
      </c>
    </row>
    <row r="9" spans="1:7">
      <c r="A9" s="6" t="s">
        <v>9</v>
      </c>
      <c r="B9" s="9">
        <f>(B7)+(B8)</f>
        <v>35705.58</v>
      </c>
      <c r="D9" s="9">
        <f>SUM(D8)</f>
        <v>140032</v>
      </c>
      <c r="F9" s="9">
        <f>SUM(F8)</f>
        <v>-104326.42</v>
      </c>
      <c r="G9" s="10"/>
    </row>
    <row r="10" spans="1:6">
      <c r="A10" s="6" t="s">
        <v>10</v>
      </c>
      <c r="B10" s="7"/>
      <c r="D10" s="7"/>
      <c r="F10" s="7"/>
    </row>
    <row r="11" spans="1:6">
      <c r="A11" s="6" t="s">
        <v>11</v>
      </c>
      <c r="B11" s="8">
        <f>0</f>
        <v>0</v>
      </c>
      <c r="D11" s="8"/>
      <c r="F11" s="8">
        <f>B11-D11</f>
        <v>0</v>
      </c>
    </row>
    <row r="12" spans="1:6">
      <c r="A12" s="6" t="s">
        <v>12</v>
      </c>
      <c r="B12" s="8">
        <v>4884.37</v>
      </c>
      <c r="D12" s="8">
        <v>13231</v>
      </c>
      <c r="F12" s="8">
        <f>B12-D12</f>
        <v>-8346.63</v>
      </c>
    </row>
    <row r="13" spans="1:7">
      <c r="A13" s="6" t="s">
        <v>13</v>
      </c>
      <c r="B13" s="9">
        <f>((B10)+(B11))+(B12)</f>
        <v>4884.37</v>
      </c>
      <c r="D13" s="9">
        <f>SUM(D11:D12)</f>
        <v>13231</v>
      </c>
      <c r="F13" s="9">
        <f>SUM(F11:F12)</f>
        <v>-8346.63</v>
      </c>
      <c r="G13" s="10"/>
    </row>
    <row r="14" spans="1:6">
      <c r="A14" s="6" t="s">
        <v>14</v>
      </c>
      <c r="B14" s="7"/>
      <c r="D14" s="7"/>
      <c r="F14" s="7"/>
    </row>
    <row r="15" spans="1:6">
      <c r="A15" s="6" t="s">
        <v>15</v>
      </c>
      <c r="B15" s="8">
        <v>23543.61</v>
      </c>
      <c r="D15" s="8">
        <v>42000</v>
      </c>
      <c r="F15" s="8">
        <f t="shared" ref="F15:F16" si="0">B15-D15</f>
        <v>-18456.39</v>
      </c>
    </row>
    <row r="16" spans="1:6">
      <c r="A16" s="11" t="s">
        <v>16</v>
      </c>
      <c r="B16" s="8">
        <v>0</v>
      </c>
      <c r="D16" s="8">
        <v>12000</v>
      </c>
      <c r="F16" s="8">
        <f t="shared" si="0"/>
        <v>-12000</v>
      </c>
    </row>
    <row r="17" spans="1:7">
      <c r="A17" s="6" t="s">
        <v>17</v>
      </c>
      <c r="B17" s="9">
        <f>(B14)+(B15)</f>
        <v>23543.61</v>
      </c>
      <c r="D17" s="9">
        <f>SUM(D15:D16)</f>
        <v>54000</v>
      </c>
      <c r="F17" s="9">
        <f>SUM(F15:F16)</f>
        <v>-30456.39</v>
      </c>
      <c r="G17" s="10"/>
    </row>
    <row r="18" spans="1:6">
      <c r="A18" s="6" t="s">
        <v>18</v>
      </c>
      <c r="B18" s="7"/>
      <c r="D18" s="7"/>
      <c r="F18" s="7"/>
    </row>
    <row r="19" spans="1:6">
      <c r="A19" s="11" t="s">
        <v>19</v>
      </c>
      <c r="B19" s="7">
        <v>0</v>
      </c>
      <c r="D19" s="7">
        <v>1400</v>
      </c>
      <c r="F19" s="7">
        <f t="shared" ref="F19:F22" si="1">B19-D19</f>
        <v>-1400</v>
      </c>
    </row>
    <row r="20" spans="1:6">
      <c r="A20" s="11" t="s">
        <v>20</v>
      </c>
      <c r="B20" s="7">
        <v>0</v>
      </c>
      <c r="D20" s="7">
        <v>600</v>
      </c>
      <c r="F20" s="7">
        <f t="shared" si="1"/>
        <v>-600</v>
      </c>
    </row>
    <row r="21" spans="1:6">
      <c r="A21" s="12" t="s">
        <v>21</v>
      </c>
      <c r="B21" s="7">
        <v>0</v>
      </c>
      <c r="D21" s="7">
        <v>300</v>
      </c>
      <c r="F21" s="7">
        <f t="shared" si="1"/>
        <v>-300</v>
      </c>
    </row>
    <row r="22" spans="1:6">
      <c r="A22" s="6" t="s">
        <v>22</v>
      </c>
      <c r="B22" s="8">
        <v>56350.12</v>
      </c>
      <c r="D22" s="8">
        <v>222000</v>
      </c>
      <c r="F22" s="8">
        <f t="shared" si="1"/>
        <v>-165649.88</v>
      </c>
    </row>
    <row r="23" spans="1:7">
      <c r="A23" s="6" t="s">
        <v>23</v>
      </c>
      <c r="B23" s="9">
        <f>(B18)+(B22)</f>
        <v>56350.12</v>
      </c>
      <c r="D23" s="9">
        <f>SUM(D19:D22)</f>
        <v>224300</v>
      </c>
      <c r="F23" s="9">
        <f>SUM(F19:F22)</f>
        <v>-167949.88</v>
      </c>
      <c r="G23" s="10"/>
    </row>
    <row r="24" spans="1:6">
      <c r="A24" s="11" t="s">
        <v>24</v>
      </c>
      <c r="B24" s="13"/>
      <c r="D24" s="13"/>
      <c r="F24" s="13"/>
    </row>
    <row r="25" spans="1:6">
      <c r="A25" s="11" t="s">
        <v>25</v>
      </c>
      <c r="B25" s="8">
        <v>0</v>
      </c>
      <c r="D25" s="13">
        <v>1500</v>
      </c>
      <c r="F25" s="13">
        <f t="shared" ref="F25:F28" si="2">B25-D25</f>
        <v>-1500</v>
      </c>
    </row>
    <row r="26" spans="1:6">
      <c r="A26" s="11" t="s">
        <v>26</v>
      </c>
      <c r="B26" s="8">
        <v>0</v>
      </c>
      <c r="D26" s="13">
        <v>150</v>
      </c>
      <c r="F26" s="13">
        <f t="shared" si="2"/>
        <v>-150</v>
      </c>
    </row>
    <row r="27" spans="1:6">
      <c r="A27" s="6" t="s">
        <v>27</v>
      </c>
      <c r="B27" s="7"/>
      <c r="D27" s="7"/>
      <c r="F27" s="7"/>
    </row>
    <row r="28" spans="1:6">
      <c r="A28" s="6" t="s">
        <v>28</v>
      </c>
      <c r="B28" s="8">
        <v>3060.36</v>
      </c>
      <c r="D28" s="8">
        <v>0</v>
      </c>
      <c r="F28" s="8">
        <f t="shared" si="2"/>
        <v>3060.36</v>
      </c>
    </row>
    <row r="29" spans="1:7">
      <c r="A29" s="6" t="s">
        <v>29</v>
      </c>
      <c r="B29" s="9">
        <f>(B27)+(B28)</f>
        <v>3060.36</v>
      </c>
      <c r="D29" s="9">
        <f>SUM(D25:D28)</f>
        <v>1650</v>
      </c>
      <c r="F29" s="9">
        <f>SUM(F25:F28)</f>
        <v>1410.36</v>
      </c>
      <c r="G29" s="10"/>
    </row>
    <row r="30" spans="1:6">
      <c r="A30" s="6" t="s">
        <v>30</v>
      </c>
      <c r="B30" s="7"/>
      <c r="D30" s="7"/>
      <c r="F30" s="7"/>
    </row>
    <row r="31" spans="1:6">
      <c r="A31" s="6" t="s">
        <v>31</v>
      </c>
      <c r="B31" s="8">
        <v>26211.74</v>
      </c>
      <c r="D31" s="8">
        <v>192754</v>
      </c>
      <c r="F31" s="8">
        <f t="shared" ref="F31:F32" si="3">B31-D31</f>
        <v>-166542.26</v>
      </c>
    </row>
    <row r="32" spans="1:6">
      <c r="A32" s="11" t="s">
        <v>32</v>
      </c>
      <c r="B32" s="8">
        <v>0</v>
      </c>
      <c r="D32" s="8">
        <v>38946.6</v>
      </c>
      <c r="F32" s="8">
        <f t="shared" si="3"/>
        <v>-38946.6</v>
      </c>
    </row>
    <row r="33" spans="1:7">
      <c r="A33" s="6" t="s">
        <v>33</v>
      </c>
      <c r="B33" s="9">
        <f>(B30)+(B31)</f>
        <v>26211.74</v>
      </c>
      <c r="D33" s="9">
        <f>SUM(D31:D32)</f>
        <v>231700.6</v>
      </c>
      <c r="F33" s="9">
        <f>SUM(F31:F32)</f>
        <v>-205488.86</v>
      </c>
      <c r="G33" s="10"/>
    </row>
    <row r="34" spans="1:6">
      <c r="A34" s="6" t="s">
        <v>34</v>
      </c>
      <c r="B34" s="7"/>
      <c r="D34" s="7"/>
      <c r="F34" s="7"/>
    </row>
    <row r="35" spans="1:6">
      <c r="A35" s="6" t="s">
        <v>35</v>
      </c>
      <c r="B35" s="8">
        <v>19639.36</v>
      </c>
      <c r="D35" s="8">
        <v>76866</v>
      </c>
      <c r="F35" s="8">
        <f t="shared" ref="F35:F39" si="4">B35-D35</f>
        <v>-57226.64</v>
      </c>
    </row>
    <row r="36" spans="1:6">
      <c r="A36" s="6" t="s">
        <v>36</v>
      </c>
      <c r="B36" s="8">
        <v>10472.57</v>
      </c>
      <c r="D36" s="8">
        <v>29664</v>
      </c>
      <c r="F36" s="8">
        <f t="shared" si="4"/>
        <v>-19191.43</v>
      </c>
    </row>
    <row r="37" spans="1:6">
      <c r="A37" s="6" t="s">
        <v>37</v>
      </c>
      <c r="B37" s="8">
        <f>2709.09</f>
        <v>2709.09</v>
      </c>
      <c r="D37" s="8">
        <v>44917</v>
      </c>
      <c r="F37" s="8">
        <f t="shared" si="4"/>
        <v>-42207.91</v>
      </c>
    </row>
    <row r="38" spans="1:6">
      <c r="A38" s="6" t="s">
        <v>38</v>
      </c>
      <c r="B38" s="8">
        <v>2820.32</v>
      </c>
      <c r="D38" s="8">
        <v>35739</v>
      </c>
      <c r="F38" s="8">
        <f t="shared" si="4"/>
        <v>-32918.68</v>
      </c>
    </row>
    <row r="39" spans="1:6">
      <c r="A39" s="11" t="s">
        <v>39</v>
      </c>
      <c r="B39" s="8">
        <v>0</v>
      </c>
      <c r="D39" s="8">
        <v>14000</v>
      </c>
      <c r="F39" s="8">
        <f t="shared" si="4"/>
        <v>-14000</v>
      </c>
    </row>
    <row r="40" spans="1:7">
      <c r="A40" s="6" t="s">
        <v>40</v>
      </c>
      <c r="B40" s="9">
        <f>((((B34)+(B35))+(B36))+(B37))+(B38)</f>
        <v>35641.34</v>
      </c>
      <c r="D40" s="9">
        <f>SUM(D35:D39)</f>
        <v>201186</v>
      </c>
      <c r="F40" s="9">
        <f>SUM(F35:F39)</f>
        <v>-165544.66</v>
      </c>
      <c r="G40" s="10"/>
    </row>
    <row r="41" spans="1:2">
      <c r="A41" s="6" t="s">
        <v>41</v>
      </c>
      <c r="B41" s="7"/>
    </row>
    <row r="42" spans="1:2">
      <c r="A42" s="6" t="s">
        <v>42</v>
      </c>
      <c r="B42" s="7"/>
    </row>
    <row r="43" spans="1:6">
      <c r="A43" s="6" t="s">
        <v>43</v>
      </c>
      <c r="B43" s="8">
        <f>6732.1</f>
        <v>6732.1</v>
      </c>
      <c r="D43" s="8">
        <v>55200</v>
      </c>
      <c r="F43" s="8">
        <f t="shared" ref="F43:F45" si="5">B43-D43</f>
        <v>-48467.9</v>
      </c>
    </row>
    <row r="44" spans="1:6">
      <c r="A44" s="6" t="s">
        <v>44</v>
      </c>
      <c r="B44" s="8">
        <f>229.25</f>
        <v>229.25</v>
      </c>
      <c r="D44" s="8">
        <v>1364</v>
      </c>
      <c r="F44" s="8">
        <f t="shared" si="5"/>
        <v>-1134.75</v>
      </c>
    </row>
    <row r="45" spans="1:6">
      <c r="A45" s="11" t="s">
        <v>45</v>
      </c>
      <c r="B45" s="8">
        <v>0</v>
      </c>
      <c r="D45" s="8">
        <v>10667</v>
      </c>
      <c r="F45" s="8">
        <f t="shared" si="5"/>
        <v>-10667</v>
      </c>
    </row>
    <row r="46" spans="1:6">
      <c r="A46" s="6" t="s">
        <v>46</v>
      </c>
      <c r="B46" s="9">
        <f>((B42)+(B43))+(B44)</f>
        <v>6961.35</v>
      </c>
      <c r="D46" s="9">
        <f>SUM(D43:D45)</f>
        <v>67231</v>
      </c>
      <c r="F46" s="9">
        <f>SUM(F43:F45)</f>
        <v>-60269.65</v>
      </c>
    </row>
    <row r="47" spans="1:6">
      <c r="A47" s="6" t="s">
        <v>47</v>
      </c>
      <c r="B47" s="9">
        <f>(B41)+(B46)</f>
        <v>6961.35</v>
      </c>
      <c r="D47" s="9">
        <f>D46</f>
        <v>67231</v>
      </c>
      <c r="F47" s="9">
        <f>F46</f>
        <v>-60269.65</v>
      </c>
    </row>
    <row r="48" spans="1:7">
      <c r="A48" s="6" t="s">
        <v>48</v>
      </c>
      <c r="B48" s="9">
        <f>B9+B13+B17+B23+B29+B33+B40+B47</f>
        <v>192358.47</v>
      </c>
      <c r="D48" s="9">
        <f>D9+D13+D17+D23+D29+D33+D40+D47+D25+D26</f>
        <v>934980.6</v>
      </c>
      <c r="F48" s="9">
        <f>F9+F13+F17+F23+F29+F33+F40+F47+F25+F26</f>
        <v>-742622.13</v>
      </c>
      <c r="G48" s="10"/>
    </row>
    <row r="49" spans="1:7">
      <c r="A49" s="6" t="s">
        <v>49</v>
      </c>
      <c r="B49" s="14">
        <f>(B48)-(0)</f>
        <v>192358.47</v>
      </c>
      <c r="D49" s="14">
        <f>D48</f>
        <v>934980.6</v>
      </c>
      <c r="F49" s="14">
        <f>F48</f>
        <v>-742622.13</v>
      </c>
      <c r="G49" s="10"/>
    </row>
    <row r="50" spans="1:2">
      <c r="A50" s="6" t="s">
        <v>50</v>
      </c>
      <c r="B50" s="7"/>
    </row>
    <row r="51" spans="1:7">
      <c r="A51" s="15" t="s">
        <v>51</v>
      </c>
      <c r="B51" s="14">
        <f>25.55+5798.2</f>
        <v>5823.75</v>
      </c>
      <c r="D51" s="14">
        <v>0</v>
      </c>
      <c r="F51" s="14">
        <v>-5823.75</v>
      </c>
      <c r="G51" s="10"/>
    </row>
    <row r="52" spans="1:2">
      <c r="A52" s="6" t="s">
        <v>52</v>
      </c>
      <c r="B52" s="7"/>
    </row>
    <row r="53" spans="1:6">
      <c r="A53" s="6" t="s">
        <v>53</v>
      </c>
      <c r="B53" s="8">
        <f>2650+2650</f>
        <v>5300</v>
      </c>
      <c r="D53" s="8">
        <v>31800</v>
      </c>
      <c r="F53" s="8">
        <f>D53-B53</f>
        <v>26500</v>
      </c>
    </row>
    <row r="54" spans="1:6">
      <c r="A54" s="6" t="s">
        <v>54</v>
      </c>
      <c r="B54" s="8">
        <v>405.45</v>
      </c>
      <c r="D54" s="8">
        <v>2432.7</v>
      </c>
      <c r="F54" s="8">
        <f t="shared" ref="F54:F57" si="6">D54-B54</f>
        <v>2027.25</v>
      </c>
    </row>
    <row r="55" spans="1:6">
      <c r="A55" s="11" t="s">
        <v>55</v>
      </c>
      <c r="B55" s="8">
        <v>0</v>
      </c>
      <c r="D55" s="8">
        <v>73.14</v>
      </c>
      <c r="F55" s="8">
        <f t="shared" si="6"/>
        <v>73.14</v>
      </c>
    </row>
    <row r="56" spans="1:6">
      <c r="A56" s="11" t="s">
        <v>56</v>
      </c>
      <c r="B56" s="8">
        <v>0</v>
      </c>
      <c r="D56" s="8">
        <v>5500</v>
      </c>
      <c r="F56" s="8">
        <f t="shared" si="6"/>
        <v>5500</v>
      </c>
    </row>
    <row r="57" spans="1:6">
      <c r="A57" s="11" t="s">
        <v>57</v>
      </c>
      <c r="B57" s="8">
        <v>0</v>
      </c>
      <c r="D57" s="8">
        <v>2000</v>
      </c>
      <c r="F57" s="8">
        <f t="shared" si="6"/>
        <v>2000</v>
      </c>
    </row>
    <row r="58" spans="1:6">
      <c r="A58" s="6"/>
      <c r="B58" s="8"/>
      <c r="D58" s="8"/>
      <c r="F58" s="8"/>
    </row>
    <row r="59" spans="1:7">
      <c r="A59" s="16" t="s">
        <v>58</v>
      </c>
      <c r="B59" s="14">
        <f>((B52)+(B53))+(B54)</f>
        <v>5705.45</v>
      </c>
      <c r="D59" s="14">
        <f>SUM(D51:D58)</f>
        <v>41805.84</v>
      </c>
      <c r="F59" s="14">
        <f>SUM(F53:F58)</f>
        <v>36100.39</v>
      </c>
      <c r="G59" s="10"/>
    </row>
    <row r="60" spans="1:2">
      <c r="A60" s="6" t="s">
        <v>59</v>
      </c>
      <c r="B60" s="7"/>
    </row>
    <row r="61" spans="1:6">
      <c r="A61" s="6" t="s">
        <v>60</v>
      </c>
      <c r="B61" s="8">
        <f>43819.69-2650</f>
        <v>41169.69</v>
      </c>
      <c r="D61" s="8">
        <v>139059.44</v>
      </c>
      <c r="F61" s="8">
        <f t="shared" ref="F61:F79" si="7">D61-B61</f>
        <v>97889.75</v>
      </c>
    </row>
    <row r="62" spans="1:6">
      <c r="A62" s="6" t="s">
        <v>61</v>
      </c>
      <c r="B62" s="8">
        <f>3420.93-202.73</f>
        <v>3218.2</v>
      </c>
      <c r="D62" s="8">
        <v>11211.24</v>
      </c>
      <c r="F62" s="8">
        <f t="shared" si="7"/>
        <v>7993.04</v>
      </c>
    </row>
    <row r="63" spans="1:6">
      <c r="A63" s="6" t="s">
        <v>62</v>
      </c>
      <c r="B63" s="8">
        <f>469.8</f>
        <v>469.8</v>
      </c>
      <c r="D63" s="8">
        <v>6952.97</v>
      </c>
      <c r="F63" s="8">
        <f t="shared" si="7"/>
        <v>6483.17</v>
      </c>
    </row>
    <row r="64" spans="1:6">
      <c r="A64" s="6" t="s">
        <v>63</v>
      </c>
      <c r="B64" s="8">
        <f>5320.59</f>
        <v>5320.59</v>
      </c>
      <c r="D64" s="8">
        <v>47580</v>
      </c>
      <c r="F64" s="8">
        <f t="shared" si="7"/>
        <v>42259.41</v>
      </c>
    </row>
    <row r="65" spans="1:6">
      <c r="A65" s="11" t="s">
        <v>64</v>
      </c>
      <c r="B65" s="8">
        <v>0</v>
      </c>
      <c r="D65" s="8">
        <v>319.83</v>
      </c>
      <c r="F65" s="8">
        <f t="shared" si="7"/>
        <v>319.83</v>
      </c>
    </row>
    <row r="66" spans="1:6">
      <c r="A66" s="6" t="s">
        <v>65</v>
      </c>
      <c r="B66" s="8">
        <v>5076</v>
      </c>
      <c r="D66" s="8">
        <v>30000</v>
      </c>
      <c r="F66" s="8">
        <f t="shared" si="7"/>
        <v>24924</v>
      </c>
    </row>
    <row r="67" spans="1:6">
      <c r="A67" s="6" t="s">
        <v>66</v>
      </c>
      <c r="B67" s="8">
        <v>10989.19</v>
      </c>
      <c r="D67" s="8">
        <v>40000</v>
      </c>
      <c r="F67" s="8">
        <f t="shared" si="7"/>
        <v>29010.81</v>
      </c>
    </row>
    <row r="68" spans="1:6">
      <c r="A68" s="6" t="s">
        <v>67</v>
      </c>
      <c r="B68" s="8">
        <f>50</f>
        <v>50</v>
      </c>
      <c r="D68" s="8">
        <v>100</v>
      </c>
      <c r="F68" s="8">
        <f t="shared" si="7"/>
        <v>50</v>
      </c>
    </row>
    <row r="69" spans="1:6">
      <c r="A69" s="11" t="s">
        <v>68</v>
      </c>
      <c r="B69" s="8">
        <v>0</v>
      </c>
      <c r="D69" s="8">
        <v>2000</v>
      </c>
      <c r="F69" s="8">
        <f t="shared" si="7"/>
        <v>2000</v>
      </c>
    </row>
    <row r="70" spans="1:6">
      <c r="A70" s="6" t="s">
        <v>69</v>
      </c>
      <c r="B70" s="8">
        <v>4010.56</v>
      </c>
      <c r="D70" s="8">
        <v>8500</v>
      </c>
      <c r="F70" s="8">
        <f t="shared" si="7"/>
        <v>4489.44</v>
      </c>
    </row>
    <row r="71" spans="1:6">
      <c r="A71" s="6" t="s">
        <v>70</v>
      </c>
      <c r="B71" s="8">
        <f>32.05</f>
        <v>32.05</v>
      </c>
      <c r="D71" s="8">
        <v>1000</v>
      </c>
      <c r="F71" s="8">
        <f t="shared" si="7"/>
        <v>967.95</v>
      </c>
    </row>
    <row r="72" spans="1:6">
      <c r="A72" s="6" t="s">
        <v>71</v>
      </c>
      <c r="B72" s="8">
        <f>154.65</f>
        <v>154.65</v>
      </c>
      <c r="D72" s="8">
        <v>4500</v>
      </c>
      <c r="F72" s="8">
        <f t="shared" si="7"/>
        <v>4345.35</v>
      </c>
    </row>
    <row r="73" spans="1:6">
      <c r="A73" s="6" t="s">
        <v>72</v>
      </c>
      <c r="B73" s="8">
        <v>2318.22</v>
      </c>
      <c r="D73" s="8">
        <v>5000</v>
      </c>
      <c r="F73" s="8">
        <f t="shared" si="7"/>
        <v>2681.78</v>
      </c>
    </row>
    <row r="74" spans="1:6">
      <c r="A74" s="6" t="s">
        <v>73</v>
      </c>
      <c r="B74" s="8">
        <v>18804.12</v>
      </c>
      <c r="D74" s="8">
        <v>9602</v>
      </c>
      <c r="F74" s="8">
        <f t="shared" si="7"/>
        <v>-9202.12</v>
      </c>
    </row>
    <row r="75" spans="1:6">
      <c r="A75" s="6" t="s">
        <v>74</v>
      </c>
      <c r="B75" s="8">
        <f>295.39</f>
        <v>295.39</v>
      </c>
      <c r="D75" s="8">
        <v>5000</v>
      </c>
      <c r="F75" s="8">
        <f t="shared" si="7"/>
        <v>4704.61</v>
      </c>
    </row>
    <row r="76" spans="1:6">
      <c r="A76" s="11" t="s">
        <v>75</v>
      </c>
      <c r="B76" s="8">
        <v>420</v>
      </c>
      <c r="D76" s="8">
        <v>5000</v>
      </c>
      <c r="F76" s="8">
        <f t="shared" si="7"/>
        <v>4580</v>
      </c>
    </row>
    <row r="77" spans="1:6">
      <c r="A77" s="6" t="s">
        <v>76</v>
      </c>
      <c r="B77" s="8">
        <f>573.27</f>
        <v>573.27</v>
      </c>
      <c r="D77" s="8">
        <v>6000</v>
      </c>
      <c r="F77" s="8">
        <f t="shared" si="7"/>
        <v>5426.73</v>
      </c>
    </row>
    <row r="78" spans="1:6">
      <c r="A78" s="6" t="s">
        <v>77</v>
      </c>
      <c r="B78" s="8">
        <v>1144.9</v>
      </c>
      <c r="D78" s="8">
        <v>1000</v>
      </c>
      <c r="F78" s="8">
        <f t="shared" si="7"/>
        <v>-144.9</v>
      </c>
    </row>
    <row r="79" spans="1:6">
      <c r="A79" s="6" t="s">
        <v>78</v>
      </c>
      <c r="B79" s="8">
        <f>350</f>
        <v>350</v>
      </c>
      <c r="D79" s="8">
        <v>4000</v>
      </c>
      <c r="F79" s="8">
        <f t="shared" si="7"/>
        <v>3650</v>
      </c>
    </row>
    <row r="80" spans="1:7">
      <c r="A80" s="16" t="s">
        <v>79</v>
      </c>
      <c r="B80" s="14">
        <f>SUM(B61:B79)</f>
        <v>94396.63</v>
      </c>
      <c r="D80" s="14">
        <f>SUM(D61:D79)</f>
        <v>326825.48</v>
      </c>
      <c r="F80" s="14">
        <f>SUM(F61:F79)</f>
        <v>232428.85</v>
      </c>
      <c r="G80" s="10"/>
    </row>
    <row r="81" spans="1:2">
      <c r="A81" s="6"/>
      <c r="B81" s="13"/>
    </row>
    <row r="82" spans="1:2">
      <c r="A82" s="11" t="s">
        <v>80</v>
      </c>
      <c r="B82" s="13"/>
    </row>
    <row r="83" spans="1:7">
      <c r="A83" s="17" t="s">
        <v>81</v>
      </c>
      <c r="B83" s="18">
        <v>0</v>
      </c>
      <c r="D83" s="18">
        <v>50000</v>
      </c>
      <c r="F83" s="18">
        <f t="shared" ref="F83" si="8">D83-B83</f>
        <v>50000</v>
      </c>
      <c r="G83" s="10"/>
    </row>
    <row r="84" spans="1:2">
      <c r="A84" s="11"/>
      <c r="B84" s="13"/>
    </row>
    <row r="85" spans="1:2">
      <c r="A85" s="6" t="s">
        <v>82</v>
      </c>
      <c r="B85" s="7"/>
    </row>
    <row r="86" spans="1:6">
      <c r="A86" s="6" t="s">
        <v>83</v>
      </c>
      <c r="B86" s="8">
        <v>32250</v>
      </c>
      <c r="D86" s="8">
        <v>102000</v>
      </c>
      <c r="F86" s="8">
        <f t="shared" ref="F86:F87" si="9">D86-B86</f>
        <v>69750</v>
      </c>
    </row>
    <row r="87" spans="1:6">
      <c r="A87" s="6" t="s">
        <v>84</v>
      </c>
      <c r="B87" s="8">
        <v>0</v>
      </c>
      <c r="D87" s="8">
        <v>0</v>
      </c>
      <c r="F87" s="8">
        <f t="shared" si="9"/>
        <v>0</v>
      </c>
    </row>
    <row r="88" spans="1:7">
      <c r="A88" s="16" t="s">
        <v>85</v>
      </c>
      <c r="B88" s="14">
        <f>((B85)+(B86))+(B87)</f>
        <v>32250</v>
      </c>
      <c r="D88" s="14">
        <f>SUM(D86:D87)</f>
        <v>102000</v>
      </c>
      <c r="F88" s="14">
        <f>SUM(F86:F87)</f>
        <v>69750</v>
      </c>
      <c r="G88" s="10"/>
    </row>
    <row r="89" spans="1:2">
      <c r="A89" s="6" t="s">
        <v>86</v>
      </c>
      <c r="B89" s="7"/>
    </row>
    <row r="90" spans="1:6">
      <c r="A90" s="6" t="s">
        <v>87</v>
      </c>
      <c r="B90" s="8">
        <v>22441.59</v>
      </c>
      <c r="D90" s="8">
        <v>142229.96</v>
      </c>
      <c r="F90" s="8">
        <f t="shared" ref="F90:F104" si="10">D90-B90</f>
        <v>119788.37</v>
      </c>
    </row>
    <row r="91" spans="1:6">
      <c r="A91" s="6" t="s">
        <v>88</v>
      </c>
      <c r="B91" s="8">
        <v>1716.79</v>
      </c>
      <c r="D91" s="8">
        <v>10880.59</v>
      </c>
      <c r="F91" s="8">
        <f t="shared" si="10"/>
        <v>9163.8</v>
      </c>
    </row>
    <row r="92" spans="1:6">
      <c r="A92" s="11" t="s">
        <v>89</v>
      </c>
      <c r="B92" s="8">
        <v>0</v>
      </c>
      <c r="D92" s="8">
        <v>3736.8</v>
      </c>
      <c r="F92" s="8">
        <f t="shared" si="10"/>
        <v>3736.8</v>
      </c>
    </row>
    <row r="93" spans="1:6">
      <c r="A93" s="11" t="s">
        <v>90</v>
      </c>
      <c r="B93" s="8">
        <v>0</v>
      </c>
      <c r="D93" s="8">
        <v>3720</v>
      </c>
      <c r="F93" s="8">
        <f t="shared" si="10"/>
        <v>3720</v>
      </c>
    </row>
    <row r="94" spans="1:6">
      <c r="A94" s="6" t="s">
        <v>91</v>
      </c>
      <c r="B94" s="8">
        <f>345.48</f>
        <v>345.48</v>
      </c>
      <c r="D94" s="8">
        <v>3000</v>
      </c>
      <c r="F94" s="8">
        <f t="shared" si="10"/>
        <v>2654.52</v>
      </c>
    </row>
    <row r="95" spans="1:6">
      <c r="A95" s="6" t="s">
        <v>92</v>
      </c>
      <c r="B95" s="8">
        <v>0</v>
      </c>
      <c r="D95" s="8">
        <v>4000</v>
      </c>
      <c r="F95" s="8">
        <f t="shared" si="10"/>
        <v>4000</v>
      </c>
    </row>
    <row r="96" spans="1:6">
      <c r="A96" s="11" t="s">
        <v>93</v>
      </c>
      <c r="B96" s="8">
        <v>0</v>
      </c>
      <c r="D96" s="8">
        <v>7367</v>
      </c>
      <c r="F96" s="8">
        <f t="shared" si="10"/>
        <v>7367</v>
      </c>
    </row>
    <row r="97" spans="1:6">
      <c r="A97" s="6" t="s">
        <v>94</v>
      </c>
      <c r="B97" s="8">
        <v>1750</v>
      </c>
      <c r="D97" s="8">
        <v>10000</v>
      </c>
      <c r="F97" s="8">
        <f t="shared" si="10"/>
        <v>8250</v>
      </c>
    </row>
    <row r="98" spans="1:6">
      <c r="A98" s="6" t="s">
        <v>95</v>
      </c>
      <c r="B98" s="8">
        <f>397.42</f>
        <v>397.42</v>
      </c>
      <c r="D98" s="8">
        <v>10600</v>
      </c>
      <c r="F98" s="8">
        <f t="shared" si="10"/>
        <v>10202.58</v>
      </c>
    </row>
    <row r="99" spans="1:6">
      <c r="A99" s="6" t="s">
        <v>96</v>
      </c>
      <c r="B99" s="8">
        <f>195</f>
        <v>195</v>
      </c>
      <c r="D99" s="8">
        <v>0</v>
      </c>
      <c r="F99" s="8">
        <f t="shared" si="10"/>
        <v>-195</v>
      </c>
    </row>
    <row r="100" spans="1:6">
      <c r="A100" s="6" t="s">
        <v>97</v>
      </c>
      <c r="B100" s="8"/>
      <c r="D100" s="7"/>
      <c r="F100" s="7"/>
    </row>
    <row r="101" spans="1:6">
      <c r="A101" s="6" t="s">
        <v>98</v>
      </c>
      <c r="B101" s="8">
        <f>0</f>
        <v>0</v>
      </c>
      <c r="D101" s="8">
        <v>0</v>
      </c>
      <c r="F101" s="8">
        <f t="shared" si="10"/>
        <v>0</v>
      </c>
    </row>
    <row r="102" spans="1:6">
      <c r="A102" s="6" t="s">
        <v>99</v>
      </c>
      <c r="B102" s="8">
        <f>4603.84</f>
        <v>4603.84</v>
      </c>
      <c r="D102" s="8">
        <v>0</v>
      </c>
      <c r="F102" s="8">
        <f t="shared" si="10"/>
        <v>-4603.84</v>
      </c>
    </row>
    <row r="103" spans="1:6">
      <c r="A103" s="6" t="s">
        <v>100</v>
      </c>
      <c r="B103" s="8">
        <f>757.54</f>
        <v>757.54</v>
      </c>
      <c r="D103" s="8">
        <v>0</v>
      </c>
      <c r="F103" s="8">
        <f t="shared" si="10"/>
        <v>-757.54</v>
      </c>
    </row>
    <row r="104" spans="1:6">
      <c r="A104" s="6" t="s">
        <v>101</v>
      </c>
      <c r="B104" s="13">
        <f>(((B100)+(B101))+(B102))+(B103)</f>
        <v>5361.38</v>
      </c>
      <c r="D104" s="19">
        <v>0</v>
      </c>
      <c r="F104" s="19">
        <f t="shared" si="10"/>
        <v>-5361.38</v>
      </c>
    </row>
    <row r="105" spans="1:7">
      <c r="A105" s="16" t="s">
        <v>102</v>
      </c>
      <c r="B105" s="14">
        <f>((((((((B89)+(B90))+(B91))+(B94))+(B95))+(B97))+(B98))+(B99))+(B104)</f>
        <v>32207.66</v>
      </c>
      <c r="D105" s="14">
        <f>SUM(D90:D104)</f>
        <v>195534.35</v>
      </c>
      <c r="F105" s="14">
        <v>163326.69</v>
      </c>
      <c r="G105" s="10"/>
    </row>
    <row r="106" spans="1:2">
      <c r="A106" s="6" t="s">
        <v>103</v>
      </c>
      <c r="B106" s="7"/>
    </row>
    <row r="107" spans="1:6">
      <c r="A107" s="6" t="s">
        <v>104</v>
      </c>
      <c r="B107" s="8">
        <f>48.26</f>
        <v>48.26</v>
      </c>
      <c r="D107" s="8">
        <v>0</v>
      </c>
      <c r="F107" s="8">
        <f t="shared" ref="F107" si="11">D107-B107</f>
        <v>-48.26</v>
      </c>
    </row>
    <row r="108" spans="1:6">
      <c r="A108" s="16" t="s">
        <v>105</v>
      </c>
      <c r="B108" s="14">
        <f>(B106)+(B107)</f>
        <v>48.26</v>
      </c>
      <c r="D108" s="14">
        <v>0</v>
      </c>
      <c r="F108" s="14">
        <f>SUM(F107)</f>
        <v>-48.26</v>
      </c>
    </row>
    <row r="109" spans="1:6">
      <c r="A109" s="6" t="s">
        <v>106</v>
      </c>
      <c r="B109" s="7"/>
      <c r="D109" s="7"/>
      <c r="F109" s="7"/>
    </row>
    <row r="110" spans="1:6">
      <c r="A110" s="6" t="s">
        <v>107</v>
      </c>
      <c r="B110" s="8">
        <f>99</f>
        <v>99</v>
      </c>
      <c r="D110" s="8">
        <v>0</v>
      </c>
      <c r="F110" s="8">
        <f t="shared" ref="F110" si="12">D110-B110</f>
        <v>-99</v>
      </c>
    </row>
    <row r="111" spans="1:6">
      <c r="A111" s="16" t="s">
        <v>108</v>
      </c>
      <c r="B111" s="14">
        <f>(B109)+(B110)</f>
        <v>99</v>
      </c>
      <c r="D111" s="14">
        <v>0</v>
      </c>
      <c r="F111" s="14">
        <f>SUM(F110)</f>
        <v>-99</v>
      </c>
    </row>
    <row r="112" spans="1:6">
      <c r="A112" s="6" t="s">
        <v>109</v>
      </c>
      <c r="B112" s="7"/>
      <c r="D112" s="7"/>
      <c r="F112" s="7"/>
    </row>
    <row r="113" spans="1:6">
      <c r="A113" s="6" t="s">
        <v>110</v>
      </c>
      <c r="B113" s="8">
        <f>0</f>
        <v>0</v>
      </c>
      <c r="D113" s="8">
        <v>0</v>
      </c>
      <c r="F113" s="8">
        <f t="shared" ref="F113:F114" si="13">D113-B113</f>
        <v>0</v>
      </c>
    </row>
    <row r="114" spans="1:6">
      <c r="A114" s="6" t="s">
        <v>111</v>
      </c>
      <c r="B114" s="8">
        <v>174.92</v>
      </c>
      <c r="D114" s="8">
        <v>0</v>
      </c>
      <c r="F114" s="8">
        <f t="shared" si="13"/>
        <v>-174.92</v>
      </c>
    </row>
    <row r="115" spans="1:6">
      <c r="A115" s="6" t="s">
        <v>112</v>
      </c>
      <c r="B115" s="9">
        <f>(B113)+(B114)</f>
        <v>174.92</v>
      </c>
      <c r="D115" s="9">
        <v>0</v>
      </c>
      <c r="F115" s="9">
        <f>SUM(F113:F114)</f>
        <v>-174.92</v>
      </c>
    </row>
    <row r="116" spans="1:6">
      <c r="A116" s="6" t="s">
        <v>113</v>
      </c>
      <c r="B116" s="8">
        <v>1073.79</v>
      </c>
      <c r="D116" s="8">
        <v>0</v>
      </c>
      <c r="F116" s="8">
        <f t="shared" ref="F116:F117" si="14">D116-B116</f>
        <v>-1073.79</v>
      </c>
    </row>
    <row r="117" spans="1:6">
      <c r="A117" s="6" t="s">
        <v>114</v>
      </c>
      <c r="B117" s="8">
        <v>0</v>
      </c>
      <c r="D117" s="8">
        <v>0</v>
      </c>
      <c r="F117" s="8">
        <f t="shared" si="14"/>
        <v>0</v>
      </c>
    </row>
    <row r="118" spans="1:6">
      <c r="A118" s="16" t="s">
        <v>115</v>
      </c>
      <c r="B118" s="14">
        <f>(((B112)+(B115))+(B116))+(B117)</f>
        <v>1248.71</v>
      </c>
      <c r="D118" s="14">
        <v>0</v>
      </c>
      <c r="F118" s="14">
        <v>-1248.71</v>
      </c>
    </row>
    <row r="119" spans="1:2">
      <c r="A119" s="6" t="s">
        <v>116</v>
      </c>
      <c r="B119" s="7"/>
    </row>
    <row r="120" spans="1:6">
      <c r="A120" s="6" t="s">
        <v>117</v>
      </c>
      <c r="B120" s="8">
        <v>18154.15</v>
      </c>
      <c r="D120" s="8">
        <v>58689.28</v>
      </c>
      <c r="F120" s="8">
        <f t="shared" ref="F120:F132" si="15">D120-B120</f>
        <v>40535.13</v>
      </c>
    </row>
    <row r="121" spans="1:6">
      <c r="A121" s="6" t="s">
        <v>118</v>
      </c>
      <c r="B121" s="8">
        <v>1388.89</v>
      </c>
      <c r="D121" s="8">
        <v>4750.94</v>
      </c>
      <c r="F121" s="8">
        <f t="shared" si="15"/>
        <v>3362.05</v>
      </c>
    </row>
    <row r="122" spans="1:6">
      <c r="A122" s="6" t="s">
        <v>119</v>
      </c>
      <c r="B122" s="8">
        <v>326.85</v>
      </c>
      <c r="D122" s="8">
        <v>2934.46</v>
      </c>
      <c r="F122" s="8">
        <f t="shared" si="15"/>
        <v>2607.61</v>
      </c>
    </row>
    <row r="123" spans="1:6">
      <c r="A123" s="6" t="s">
        <v>120</v>
      </c>
      <c r="B123" s="8">
        <f>1203.09</f>
        <v>1203.09</v>
      </c>
      <c r="D123" s="8">
        <v>26352</v>
      </c>
      <c r="F123" s="8">
        <f t="shared" si="15"/>
        <v>25148.91</v>
      </c>
    </row>
    <row r="124" spans="1:6">
      <c r="A124" s="11" t="s">
        <v>121</v>
      </c>
      <c r="B124" s="8">
        <v>0</v>
      </c>
      <c r="D124" s="8">
        <v>5431.56</v>
      </c>
      <c r="F124" s="8">
        <f t="shared" si="15"/>
        <v>5431.56</v>
      </c>
    </row>
    <row r="125" spans="1:6">
      <c r="A125" s="11" t="s">
        <v>122</v>
      </c>
      <c r="B125" s="8">
        <v>0</v>
      </c>
      <c r="D125" s="8">
        <v>2000</v>
      </c>
      <c r="F125" s="8">
        <f t="shared" si="15"/>
        <v>2000</v>
      </c>
    </row>
    <row r="126" spans="1:6">
      <c r="A126" s="6" t="s">
        <v>123</v>
      </c>
      <c r="B126" s="8">
        <v>1217.6</v>
      </c>
      <c r="D126" s="8">
        <v>1600</v>
      </c>
      <c r="F126" s="8">
        <f t="shared" si="15"/>
        <v>382.4</v>
      </c>
    </row>
    <row r="127" spans="1:6">
      <c r="A127" s="6" t="s">
        <v>124</v>
      </c>
      <c r="B127" s="8">
        <v>5591.47</v>
      </c>
      <c r="D127" s="8">
        <v>24000</v>
      </c>
      <c r="F127" s="8">
        <f t="shared" si="15"/>
        <v>18408.53</v>
      </c>
    </row>
    <row r="128" spans="1:6">
      <c r="A128" s="11" t="s">
        <v>125</v>
      </c>
      <c r="B128" s="8">
        <v>0</v>
      </c>
      <c r="D128" s="8">
        <v>16820</v>
      </c>
      <c r="F128" s="8">
        <f t="shared" si="15"/>
        <v>16820</v>
      </c>
    </row>
    <row r="129" spans="1:6">
      <c r="A129" s="6" t="s">
        <v>126</v>
      </c>
      <c r="B129" s="8">
        <v>1954.84</v>
      </c>
      <c r="D129" s="8">
        <v>15000</v>
      </c>
      <c r="F129" s="8">
        <f t="shared" si="15"/>
        <v>13045.16</v>
      </c>
    </row>
    <row r="130" spans="1:6">
      <c r="A130" s="6" t="s">
        <v>127</v>
      </c>
      <c r="B130" s="8">
        <v>1784.24</v>
      </c>
      <c r="D130" s="8">
        <v>5000</v>
      </c>
      <c r="F130" s="8">
        <f t="shared" si="15"/>
        <v>3215.76</v>
      </c>
    </row>
    <row r="131" spans="1:6">
      <c r="A131" s="11" t="s">
        <v>128</v>
      </c>
      <c r="B131" s="8">
        <v>0</v>
      </c>
      <c r="D131" s="8">
        <v>4000</v>
      </c>
      <c r="F131" s="8">
        <f t="shared" si="15"/>
        <v>4000</v>
      </c>
    </row>
    <row r="132" spans="1:6">
      <c r="A132" s="11" t="s">
        <v>129</v>
      </c>
      <c r="B132" s="8">
        <v>0</v>
      </c>
      <c r="D132" s="8">
        <v>20000</v>
      </c>
      <c r="F132" s="8">
        <f t="shared" si="15"/>
        <v>20000</v>
      </c>
    </row>
    <row r="133" spans="1:7">
      <c r="A133" s="16" t="s">
        <v>130</v>
      </c>
      <c r="B133" s="14">
        <f>((((((((B119)+(B120))+(B121))+(B122))+(B123))+(B126))+(B127))+(B129))+(B130)</f>
        <v>31621.13</v>
      </c>
      <c r="D133" s="14">
        <f>SUM(D120:D132)</f>
        <v>186578.24</v>
      </c>
      <c r="F133" s="14">
        <f>SUM(F120:F132)</f>
        <v>154957.11</v>
      </c>
      <c r="G133" s="10"/>
    </row>
    <row r="134" spans="1:2">
      <c r="A134" s="6" t="s">
        <v>131</v>
      </c>
      <c r="B134" s="7"/>
    </row>
    <row r="135" spans="1:2">
      <c r="A135" s="6" t="s">
        <v>132</v>
      </c>
      <c r="B135" s="7"/>
    </row>
    <row r="136" spans="1:11">
      <c r="A136" s="11" t="s">
        <v>133</v>
      </c>
      <c r="B136" s="8">
        <v>25</v>
      </c>
      <c r="C136" s="20"/>
      <c r="D136" s="21">
        <v>1500</v>
      </c>
      <c r="E136" s="22"/>
      <c r="F136" s="21">
        <f t="shared" ref="F136:F144" si="16">D136-B136</f>
        <v>1475</v>
      </c>
      <c r="G136" s="21"/>
      <c r="H136" s="23"/>
      <c r="J136" s="23"/>
      <c r="K136" s="21"/>
    </row>
    <row r="137" spans="1:11">
      <c r="A137" s="11" t="s">
        <v>134</v>
      </c>
      <c r="B137" s="8">
        <v>0</v>
      </c>
      <c r="C137" s="20"/>
      <c r="D137" s="21">
        <v>4000</v>
      </c>
      <c r="E137" s="22"/>
      <c r="F137" s="21">
        <f t="shared" si="16"/>
        <v>4000</v>
      </c>
      <c r="G137" s="21"/>
      <c r="H137" s="23"/>
      <c r="J137" s="23"/>
      <c r="K137" s="21"/>
    </row>
    <row r="138" spans="1:11">
      <c r="A138" s="11" t="s">
        <v>135</v>
      </c>
      <c r="B138" s="8">
        <v>0</v>
      </c>
      <c r="C138" s="20"/>
      <c r="D138" s="21">
        <v>1000</v>
      </c>
      <c r="E138" s="22"/>
      <c r="F138" s="21">
        <f t="shared" si="16"/>
        <v>1000</v>
      </c>
      <c r="G138" s="21"/>
      <c r="H138" s="23"/>
      <c r="J138" s="23"/>
      <c r="K138" s="21"/>
    </row>
    <row r="139" spans="1:11">
      <c r="A139" s="11" t="s">
        <v>136</v>
      </c>
      <c r="B139" s="8">
        <v>0</v>
      </c>
      <c r="C139" s="20"/>
      <c r="D139" s="21">
        <v>4000</v>
      </c>
      <c r="E139" s="22"/>
      <c r="F139" s="21">
        <f t="shared" si="16"/>
        <v>4000</v>
      </c>
      <c r="G139" s="21"/>
      <c r="H139" s="23"/>
      <c r="J139" s="23"/>
      <c r="K139" s="21"/>
    </row>
    <row r="140" spans="1:11">
      <c r="A140" s="11" t="s">
        <v>137</v>
      </c>
      <c r="B140" s="8">
        <v>0</v>
      </c>
      <c r="C140" s="20"/>
      <c r="D140" s="21">
        <v>300</v>
      </c>
      <c r="E140" s="22"/>
      <c r="F140" s="21">
        <f t="shared" si="16"/>
        <v>300</v>
      </c>
      <c r="G140" s="21"/>
      <c r="H140" s="23"/>
      <c r="J140" s="23"/>
      <c r="K140" s="21"/>
    </row>
    <row r="141" spans="1:11">
      <c r="A141" s="11" t="s">
        <v>138</v>
      </c>
      <c r="B141" s="8">
        <v>0</v>
      </c>
      <c r="C141" s="20"/>
      <c r="D141" s="21">
        <v>1200</v>
      </c>
      <c r="E141" s="22"/>
      <c r="F141" s="21">
        <f t="shared" si="16"/>
        <v>1200</v>
      </c>
      <c r="G141" s="21"/>
      <c r="H141" s="23"/>
      <c r="J141" s="23"/>
      <c r="K141" s="21"/>
    </row>
    <row r="142" spans="1:11">
      <c r="A142" s="11" t="s">
        <v>139</v>
      </c>
      <c r="B142" s="8">
        <v>0</v>
      </c>
      <c r="C142" s="20"/>
      <c r="D142" s="21">
        <v>500</v>
      </c>
      <c r="E142" s="22"/>
      <c r="F142" s="21">
        <f t="shared" si="16"/>
        <v>500</v>
      </c>
      <c r="G142" s="21"/>
      <c r="H142" s="23"/>
      <c r="J142" s="23"/>
      <c r="K142" s="21"/>
    </row>
    <row r="143" spans="1:11">
      <c r="A143" s="11" t="s">
        <v>140</v>
      </c>
      <c r="B143" s="21">
        <v>17848.35</v>
      </c>
      <c r="C143" s="20"/>
      <c r="D143" s="21">
        <v>2161</v>
      </c>
      <c r="E143" s="22"/>
      <c r="F143" s="21">
        <f t="shared" si="16"/>
        <v>-15687.35</v>
      </c>
      <c r="G143" s="21"/>
      <c r="H143" s="23"/>
      <c r="J143" s="23"/>
      <c r="K143" s="21"/>
    </row>
    <row r="144" spans="1:11">
      <c r="A144" s="11" t="s">
        <v>141</v>
      </c>
      <c r="B144" s="21">
        <v>900</v>
      </c>
      <c r="C144" s="24"/>
      <c r="D144" s="21">
        <f>400*12</f>
        <v>4800</v>
      </c>
      <c r="E144" s="25"/>
      <c r="F144" s="21">
        <f t="shared" si="16"/>
        <v>3900</v>
      </c>
      <c r="G144" s="23"/>
      <c r="H144" s="23"/>
      <c r="I144" s="29"/>
      <c r="J144" s="23"/>
      <c r="K144" s="21"/>
    </row>
    <row r="145" spans="1:7">
      <c r="A145" s="16" t="s">
        <v>142</v>
      </c>
      <c r="B145" s="14">
        <f>SUM(B136:B144)</f>
        <v>18773.35</v>
      </c>
      <c r="C145" s="10"/>
      <c r="D145" s="14">
        <f>SUM(D136:D144)</f>
        <v>19461</v>
      </c>
      <c r="F145" s="14">
        <f>SUM(F136:F144)</f>
        <v>687.650000000001</v>
      </c>
      <c r="G145" s="10"/>
    </row>
    <row r="146" spans="1:6">
      <c r="A146" s="6" t="s">
        <v>143</v>
      </c>
      <c r="B146" s="9">
        <f>(B134)+(B145)</f>
        <v>18773.35</v>
      </c>
      <c r="D146" s="9">
        <v>19461</v>
      </c>
      <c r="F146" s="9">
        <f>F145</f>
        <v>687.650000000001</v>
      </c>
    </row>
    <row r="147" spans="1:9">
      <c r="A147" s="6" t="s">
        <v>144</v>
      </c>
      <c r="B147" s="9">
        <f>(((((((((B51)+(B59))+(B80))+(B88))+(B105))+(B108))+(B111))+(B118))+(B133))+(B146)</f>
        <v>222173.94</v>
      </c>
      <c r="D147" s="9">
        <f>D59+D80+D83+D88+D105+D108+D111+D118+D133+D145</f>
        <v>922204.91</v>
      </c>
      <c r="F147" s="9">
        <v>700030.97</v>
      </c>
      <c r="G147" s="10"/>
      <c r="I147" s="10"/>
    </row>
    <row r="148" spans="1:7">
      <c r="A148" s="6" t="s">
        <v>145</v>
      </c>
      <c r="B148" s="14">
        <f>(B49)-(B147)</f>
        <v>-29815.47</v>
      </c>
      <c r="C148" s="26"/>
      <c r="D148" s="14">
        <f>D49-D147</f>
        <v>12775.6900000001</v>
      </c>
      <c r="E148" s="26"/>
      <c r="F148" s="14">
        <f>B148-D148</f>
        <v>-42591.1600000001</v>
      </c>
      <c r="G148" s="10"/>
    </row>
    <row r="149" ht="15.75" spans="1:7">
      <c r="A149" s="6" t="s">
        <v>146</v>
      </c>
      <c r="B149" s="27">
        <f>(B148)+(0)</f>
        <v>-29815.47</v>
      </c>
      <c r="C149" s="26"/>
      <c r="D149" s="27">
        <v>12775.69</v>
      </c>
      <c r="E149" s="26"/>
      <c r="F149" s="27">
        <v>42591.16</v>
      </c>
      <c r="G149" s="10"/>
    </row>
    <row r="150" ht="15.75" spans="1:2">
      <c r="A150" s="6"/>
      <c r="B150" s="7"/>
    </row>
    <row r="152" spans="7:7">
      <c r="G152" s="10"/>
    </row>
    <row r="153" spans="1:1">
      <c r="A153" s="28"/>
    </row>
  </sheetData>
  <mergeCells count="4">
    <mergeCell ref="A1:B1"/>
    <mergeCell ref="A2:B2"/>
    <mergeCell ref="A3:B3"/>
    <mergeCell ref="A153:B153"/>
  </mergeCells>
  <pageMargins left="0.7" right="0.7" top="0.75" bottom="0.75" header="0.3" footer="0.3"/>
  <pageSetup paperSize="1" scale="78" orientation="portrait"/>
  <headerFooter/>
  <ignoredErrors>
    <ignoredError sqref="F48 D48 F1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Profit and Loss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Audre</cp:lastModifiedBy>
  <dcterms:created xsi:type="dcterms:W3CDTF">2024-01-05T18:58:00Z</dcterms:created>
  <cp:lastPrinted>2024-01-05T21:22:00Z</cp:lastPrinted>
  <dcterms:modified xsi:type="dcterms:W3CDTF">2024-10-23T20:13:03Z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F71669F4D6B34D3DB5151802E45C001C_12</vt:lpwstr>
  </property>
  <property fmtid="{D5CDD505-2E9C-101B-9397-08002B2CF9AE}" pid="3" name="KSOProductBuildVer">
    <vt:lpwstr>1033-12.2.0.18283</vt:lpwstr>
  </property>
</Properties>
</file>